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270" windowHeight="4545"/>
  </bookViews>
  <sheets>
    <sheet name="Artile score calculation" sheetId="1" r:id="rId1"/>
  </sheets>
  <calcPr calcId="162913"/>
</workbook>
</file>

<file path=xl/calcChain.xml><?xml version="1.0" encoding="utf-8"?>
<calcChain xmlns="http://schemas.openxmlformats.org/spreadsheetml/2006/main">
  <c r="O5" i="1" l="1"/>
  <c r="G9" i="1"/>
  <c r="G8" i="1"/>
  <c r="G7" i="1"/>
  <c r="G6" i="1"/>
  <c r="G5" i="1"/>
  <c r="G4" i="1"/>
  <c r="H9" i="1"/>
  <c r="H8" i="1"/>
  <c r="H7" i="1"/>
  <c r="H6" i="1"/>
  <c r="H5" i="1"/>
  <c r="H4" i="1"/>
  <c r="P9" i="1"/>
  <c r="P8" i="1"/>
  <c r="P7" i="1"/>
  <c r="P6" i="1"/>
  <c r="P5" i="1"/>
  <c r="P4" i="1"/>
  <c r="P3" i="1"/>
  <c r="O9" i="1"/>
  <c r="O8" i="1"/>
  <c r="O7" i="1"/>
  <c r="O6" i="1"/>
  <c r="O4" i="1"/>
  <c r="O3" i="1"/>
  <c r="B9" i="1" l="1"/>
  <c r="C9" i="1"/>
  <c r="D9" i="1"/>
  <c r="E9" i="1"/>
  <c r="F9" i="1"/>
  <c r="F8" i="1" l="1"/>
  <c r="F7" i="1"/>
  <c r="F6" i="1"/>
  <c r="F5" i="1"/>
  <c r="F4" i="1"/>
  <c r="N9" i="1"/>
  <c r="N8" i="1"/>
  <c r="N7" i="1"/>
  <c r="N6" i="1"/>
  <c r="N5" i="1"/>
  <c r="N4" i="1"/>
  <c r="N3" i="1"/>
  <c r="B8" i="1" l="1"/>
  <c r="B7" i="1"/>
  <c r="B6" i="1"/>
  <c r="B5" i="1"/>
  <c r="B4" i="1"/>
  <c r="C4" i="1"/>
  <c r="C8" i="1"/>
  <c r="D8" i="1"/>
  <c r="E8" i="1"/>
  <c r="C7" i="1"/>
  <c r="D7" i="1"/>
  <c r="E7" i="1"/>
  <c r="C6" i="1"/>
  <c r="D6" i="1"/>
  <c r="E6" i="1"/>
  <c r="C5" i="1"/>
  <c r="D5" i="1"/>
  <c r="E5" i="1"/>
  <c r="D4" i="1"/>
  <c r="E4" i="1"/>
  <c r="J9" i="1"/>
  <c r="K9" i="1"/>
  <c r="L9" i="1"/>
  <c r="M9" i="1"/>
  <c r="J8" i="1"/>
  <c r="K8" i="1"/>
  <c r="L8" i="1"/>
  <c r="M8" i="1"/>
  <c r="J7" i="1"/>
  <c r="K7" i="1"/>
  <c r="L7" i="1"/>
  <c r="M7" i="1"/>
  <c r="J6" i="1"/>
  <c r="K6" i="1"/>
  <c r="L6" i="1"/>
  <c r="M6" i="1"/>
  <c r="J5" i="1"/>
  <c r="K5" i="1"/>
  <c r="L5" i="1"/>
  <c r="M5" i="1"/>
  <c r="J4" i="1"/>
  <c r="K4" i="1"/>
  <c r="L4" i="1"/>
  <c r="M4" i="1"/>
  <c r="J3" i="1"/>
  <c r="K3" i="1"/>
  <c r="L3" i="1"/>
  <c r="M3" i="1"/>
</calcChain>
</file>

<file path=xl/sharedStrings.xml><?xml version="1.0" encoding="utf-8"?>
<sst xmlns="http://schemas.openxmlformats.org/spreadsheetml/2006/main" count="56" uniqueCount="46">
  <si>
    <t>امتیاز سایر نویسندگان</t>
  </si>
  <si>
    <t xml:space="preserve">یک نفر </t>
  </si>
  <si>
    <t>دو نفر</t>
  </si>
  <si>
    <t>سه نفر</t>
  </si>
  <si>
    <t>چهار نفر</t>
  </si>
  <si>
    <t>پنج نفر</t>
  </si>
  <si>
    <t>شش تا نه نفر</t>
  </si>
  <si>
    <t>ده نفر و بیشتر</t>
  </si>
  <si>
    <t>Scopus</t>
  </si>
  <si>
    <t>BIOSIS, EMBASE</t>
  </si>
  <si>
    <t>Other</t>
  </si>
  <si>
    <t>without index</t>
  </si>
  <si>
    <t>امتیاز نفر اول یا نویسنده مسئول</t>
  </si>
  <si>
    <t>نوع مقاله</t>
  </si>
  <si>
    <t>تحقیقی اصیل</t>
  </si>
  <si>
    <t>مروری</t>
  </si>
  <si>
    <t>مرور نظام‌مند یا متاآنالیز/  بیشتر از ۳ رفرنس از نویسنده در مقاله</t>
  </si>
  <si>
    <t>کمتر از ۳ رفرنس از نویسنده در مقاله</t>
  </si>
  <si>
    <t>گزارش مورد</t>
  </si>
  <si>
    <t>گزارش ۱ تا سه بیمار</t>
  </si>
  <si>
    <t xml:space="preserve">گزارش ۴ تا ۷ بیمار </t>
  </si>
  <si>
    <t>گزارش بیش از ۷ بیمار</t>
  </si>
  <si>
    <t>Short/brief report/communication</t>
  </si>
  <si>
    <t>داخلی</t>
  </si>
  <si>
    <t>بین‌المللی</t>
  </si>
  <si>
    <t>نامه به سردبیر</t>
  </si>
  <si>
    <t>بدون مرور همتا</t>
  </si>
  <si>
    <t>مجله داخلی</t>
  </si>
  <si>
    <t>مجله بین‌المللی</t>
  </si>
  <si>
    <t>با مرور همتا</t>
  </si>
  <si>
    <t>research letter</t>
  </si>
  <si>
    <t>PubMed</t>
  </si>
  <si>
    <t>تعداد نویسندگان</t>
  </si>
  <si>
    <r>
      <rPr>
        <b/>
        <sz val="16"/>
        <color theme="0"/>
        <rFont val="Wingdings"/>
        <charset val="2"/>
      </rPr>
      <t>ï</t>
    </r>
    <r>
      <rPr>
        <b/>
        <sz val="16"/>
        <color theme="0"/>
        <rFont val="Calibri"/>
        <family val="2"/>
        <scheme val="minor"/>
      </rPr>
      <t xml:space="preserve"> ISI</t>
    </r>
  </si>
  <si>
    <t>ISI (IF&lt;2)</t>
  </si>
  <si>
    <t>ISI (IF&gt;2)</t>
  </si>
  <si>
    <r>
      <rPr>
        <b/>
        <sz val="11"/>
        <color theme="1"/>
        <rFont val="Wingdings"/>
        <charset val="2"/>
      </rPr>
      <t>ð</t>
    </r>
    <r>
      <rPr>
        <b/>
        <sz val="11"/>
        <color theme="1"/>
        <rFont val="Calibri"/>
        <family val="2"/>
        <scheme val="minor"/>
      </rPr>
      <t xml:space="preserve"> اگر IF کوچک‌تر از ۲ باشد، مقدار آن را در سلول سمت راست وارد کنید.</t>
    </r>
  </si>
  <si>
    <r>
      <rPr>
        <b/>
        <sz val="11"/>
        <color theme="1"/>
        <rFont val="Wingdings"/>
        <charset val="2"/>
      </rPr>
      <t>ð</t>
    </r>
    <r>
      <rPr>
        <b/>
        <sz val="11"/>
        <color theme="1"/>
        <rFont val="Calibri"/>
        <family val="2"/>
        <scheme val="minor"/>
      </rPr>
      <t xml:space="preserve"> اگر IF بزرگ‌تر از ۲ باشد، حاصل تفاضل آن از ۲ (IF-2) را در سلول سمت راست وارد کنید.</t>
    </r>
  </si>
  <si>
    <r>
      <rPr>
        <b/>
        <sz val="12"/>
        <rFont val="Wingdings"/>
        <charset val="2"/>
      </rPr>
      <t xml:space="preserve">ð </t>
    </r>
    <r>
      <rPr>
        <b/>
        <sz val="12"/>
        <rFont val="Calibri"/>
        <family val="2"/>
        <scheme val="minor"/>
      </rPr>
      <t>ضریب نوع مقاله را طبق جدول زیر در سلول سمت راست وارد کنید.</t>
    </r>
  </si>
  <si>
    <r>
      <rPr>
        <b/>
        <sz val="11"/>
        <color theme="1"/>
        <rFont val="Wingdings"/>
        <charset val="2"/>
      </rPr>
      <t>ð</t>
    </r>
    <r>
      <rPr>
        <b/>
        <sz val="11"/>
        <color theme="1"/>
        <rFont val="Calibri"/>
        <family val="2"/>
        <scheme val="minor"/>
      </rPr>
      <t xml:space="preserve"> اگر تعداد نویسندگان مقاله، ۱۰ نفر یا بیشتر است، تعداد کل را در  سلول سمت راست وارد کنید.</t>
    </r>
  </si>
  <si>
    <t>http://isid.research.ac.ir/Hossein_Khoramdelazad</t>
  </si>
  <si>
    <t>https://vcrt.rums.ac.ir/</t>
  </si>
  <si>
    <t>مدیریت توسعه و ارزیابی تحقیقات دانشگاه علوم پزشکی رفسنجان</t>
  </si>
  <si>
    <t>عضو هیئت علمی گروه ایمونولوژی دانشکده پزشکی و مرکز تحقیقات پزشکی ملکولی دانشگاه علوم پزشکی رفسنجان</t>
  </si>
  <si>
    <t>با همکاری:</t>
  </si>
  <si>
    <t>تهیه‌کننده: حسین خرم‌دل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</si>
</sst>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12"/>
      <name val="Wingdings"/>
      <charset val="2"/>
    </font>
    <font>
      <b/>
      <sz val="16"/>
      <color theme="0"/>
      <name val="Calibri"/>
      <family val="2"/>
      <scheme val="minor"/>
    </font>
    <font>
      <b/>
      <sz val="16"/>
      <color theme="0"/>
      <name val="Wingdings"/>
      <charset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7" fillId="0" borderId="0" xfId="0" applyFont="1" applyAlignment="1">
      <alignment horizontal="center"/>
    </xf>
    <xf numFmtId="0" fontId="3" fillId="12" borderId="9" xfId="0" applyFont="1" applyFill="1" applyBorder="1" applyAlignment="1">
      <alignment horizontal="center" vertical="center" wrapText="1" readingOrder="2"/>
    </xf>
    <xf numFmtId="0" fontId="3" fillId="12" borderId="5" xfId="0" applyFont="1" applyFill="1" applyBorder="1" applyAlignment="1">
      <alignment horizontal="center" vertical="center" wrapText="1" readingOrder="2"/>
    </xf>
    <xf numFmtId="0" fontId="3" fillId="13" borderId="9" xfId="0" applyFont="1" applyFill="1" applyBorder="1" applyAlignment="1">
      <alignment horizontal="center" vertical="center" wrapText="1" readingOrder="2"/>
    </xf>
    <xf numFmtId="0" fontId="3" fillId="13" borderId="5" xfId="0" applyFont="1" applyFill="1" applyBorder="1" applyAlignment="1">
      <alignment horizontal="center" vertical="center" wrapText="1" readingOrder="2"/>
    </xf>
    <xf numFmtId="0" fontId="5" fillId="5" borderId="0" xfId="0" applyFont="1" applyFill="1" applyAlignment="1">
      <alignment horizontal="center"/>
    </xf>
    <xf numFmtId="0" fontId="6" fillId="12" borderId="6" xfId="0" applyFont="1" applyFill="1" applyBorder="1" applyAlignment="1">
      <alignment horizontal="center" vertical="center" wrapText="1" readingOrder="2"/>
    </xf>
    <xf numFmtId="0" fontId="6" fillId="12" borderId="0" xfId="0" applyFont="1" applyFill="1" applyBorder="1" applyAlignment="1">
      <alignment horizontal="center" vertical="center" wrapText="1" readingOrder="2"/>
    </xf>
    <xf numFmtId="0" fontId="6" fillId="13" borderId="0" xfId="0" applyFont="1" applyFill="1" applyBorder="1" applyAlignment="1">
      <alignment horizontal="center" vertical="center" wrapText="1" readingOrder="2"/>
    </xf>
    <xf numFmtId="0" fontId="6" fillId="13" borderId="6" xfId="0" applyFont="1" applyFill="1" applyBorder="1" applyAlignment="1">
      <alignment horizontal="center" vertical="center" wrapText="1" readingOrder="2"/>
    </xf>
    <xf numFmtId="0" fontId="9" fillId="5" borderId="0" xfId="0" applyFont="1" applyFill="1" applyAlignment="1">
      <alignment horizontal="center"/>
    </xf>
    <xf numFmtId="2" fontId="10" fillId="5" borderId="0" xfId="0" applyNumberFormat="1" applyFont="1" applyFill="1" applyAlignment="1">
      <alignment horizontal="center"/>
    </xf>
    <xf numFmtId="0" fontId="6" fillId="2" borderId="26" xfId="0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/>
    </xf>
    <xf numFmtId="2" fontId="11" fillId="4" borderId="26" xfId="0" applyNumberFormat="1" applyFont="1" applyFill="1" applyBorder="1" applyAlignment="1">
      <alignment horizontal="center"/>
    </xf>
    <xf numFmtId="2" fontId="10" fillId="4" borderId="26" xfId="0" applyNumberFormat="1" applyFont="1" applyFill="1" applyBorder="1" applyAlignment="1">
      <alignment horizontal="center"/>
    </xf>
    <xf numFmtId="2" fontId="4" fillId="3" borderId="26" xfId="0" applyNumberFormat="1" applyFont="1" applyFill="1" applyBorder="1" applyAlignment="1">
      <alignment horizontal="center"/>
    </xf>
    <xf numFmtId="2" fontId="11" fillId="3" borderId="26" xfId="0" applyNumberFormat="1" applyFont="1" applyFill="1" applyBorder="1" applyAlignment="1">
      <alignment horizontal="center"/>
    </xf>
    <xf numFmtId="2" fontId="10" fillId="3" borderId="26" xfId="0" applyNumberFormat="1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 vertical="center" wrapText="1" readingOrder="2"/>
    </xf>
    <xf numFmtId="0" fontId="0" fillId="10" borderId="22" xfId="0" applyFont="1" applyFill="1" applyBorder="1" applyAlignment="1">
      <alignment horizontal="center" vertical="center" wrapText="1" readingOrder="2"/>
    </xf>
    <xf numFmtId="0" fontId="0" fillId="10" borderId="4" xfId="0" applyFont="1" applyFill="1" applyBorder="1" applyAlignment="1">
      <alignment horizontal="center" vertical="center" wrapText="1" readingOrder="2"/>
    </xf>
    <xf numFmtId="0" fontId="0" fillId="11" borderId="22" xfId="0" applyFont="1" applyFill="1" applyBorder="1" applyAlignment="1">
      <alignment horizontal="center" vertical="center" wrapText="1" readingOrder="2"/>
    </xf>
    <xf numFmtId="0" fontId="0" fillId="11" borderId="4" xfId="0" applyFont="1" applyFill="1" applyBorder="1" applyAlignment="1">
      <alignment horizontal="center" vertical="center" wrapText="1" readingOrder="2"/>
    </xf>
    <xf numFmtId="0" fontId="0" fillId="12" borderId="22" xfId="0" applyFont="1" applyFill="1" applyBorder="1" applyAlignment="1">
      <alignment horizontal="center" vertical="center" wrapText="1" readingOrder="2"/>
    </xf>
    <xf numFmtId="0" fontId="0" fillId="12" borderId="4" xfId="0" applyFont="1" applyFill="1" applyBorder="1" applyAlignment="1">
      <alignment horizontal="center" vertical="center" wrapText="1" readingOrder="2"/>
    </xf>
    <xf numFmtId="0" fontId="0" fillId="13" borderId="22" xfId="0" applyFont="1" applyFill="1" applyBorder="1" applyAlignment="1">
      <alignment horizontal="center" vertical="center" wrapText="1" readingOrder="2"/>
    </xf>
    <xf numFmtId="0" fontId="0" fillId="13" borderId="4" xfId="0" applyFont="1" applyFill="1" applyBorder="1" applyAlignment="1">
      <alignment horizontal="center" vertical="center" wrapText="1" readingOrder="2"/>
    </xf>
    <xf numFmtId="0" fontId="6" fillId="12" borderId="6" xfId="0" applyFont="1" applyFill="1" applyBorder="1" applyAlignment="1">
      <alignment horizontal="center" vertical="center" wrapText="1" readingOrder="2"/>
    </xf>
    <xf numFmtId="0" fontId="1" fillId="17" borderId="26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18" fillId="0" borderId="0" xfId="1" applyAlignment="1">
      <alignment horizontal="center"/>
    </xf>
    <xf numFmtId="0" fontId="19" fillId="5" borderId="0" xfId="0" applyFont="1" applyFill="1"/>
    <xf numFmtId="0" fontId="0" fillId="5" borderId="0" xfId="0" applyFill="1"/>
    <xf numFmtId="0" fontId="18" fillId="5" borderId="0" xfId="1" applyFill="1" applyAlignment="1">
      <alignment horizontal="center"/>
    </xf>
    <xf numFmtId="0" fontId="1" fillId="5" borderId="0" xfId="0" applyFont="1" applyFill="1" applyAlignment="1"/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8" fillId="5" borderId="0" xfId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5" fillId="16" borderId="32" xfId="0" applyFont="1" applyFill="1" applyBorder="1" applyAlignment="1">
      <alignment horizontal="center" vertical="center" readingOrder="1"/>
    </xf>
    <xf numFmtId="0" fontId="17" fillId="16" borderId="32" xfId="0" applyFont="1" applyFill="1" applyBorder="1" applyAlignment="1">
      <alignment horizontal="center" vertical="center" readingOrder="1"/>
    </xf>
    <xf numFmtId="0" fontId="6" fillId="12" borderId="19" xfId="0" applyFont="1" applyFill="1" applyBorder="1" applyAlignment="1">
      <alignment horizontal="center" vertical="center" wrapText="1" readingOrder="2"/>
    </xf>
    <xf numFmtId="0" fontId="6" fillId="12" borderId="20" xfId="0" applyFont="1" applyFill="1" applyBorder="1" applyAlignment="1">
      <alignment horizontal="center" vertical="center" wrapText="1" readingOrder="2"/>
    </xf>
    <xf numFmtId="0" fontId="6" fillId="12" borderId="21" xfId="0" applyFont="1" applyFill="1" applyBorder="1" applyAlignment="1">
      <alignment horizontal="center" vertical="center" wrapText="1" readingOrder="2"/>
    </xf>
    <xf numFmtId="0" fontId="6" fillId="12" borderId="5" xfId="0" applyFont="1" applyFill="1" applyBorder="1" applyAlignment="1">
      <alignment horizontal="center" vertical="center" wrapText="1" readingOrder="2"/>
    </xf>
    <xf numFmtId="0" fontId="6" fillId="12" borderId="6" xfId="0" applyFont="1" applyFill="1" applyBorder="1" applyAlignment="1">
      <alignment horizontal="center" vertical="center" wrapText="1" readingOrder="2"/>
    </xf>
    <xf numFmtId="0" fontId="6" fillId="12" borderId="7" xfId="0" applyFont="1" applyFill="1" applyBorder="1" applyAlignment="1">
      <alignment horizontal="center" vertical="center" wrapText="1" readingOrder="2"/>
    </xf>
    <xf numFmtId="0" fontId="3" fillId="13" borderId="15" xfId="0" applyFont="1" applyFill="1" applyBorder="1" applyAlignment="1">
      <alignment horizontal="center" vertical="center" wrapText="1" readingOrder="2"/>
    </xf>
    <xf numFmtId="0" fontId="3" fillId="13" borderId="8" xfId="0" applyFont="1" applyFill="1" applyBorder="1" applyAlignment="1">
      <alignment horizontal="center" vertical="center" wrapText="1" readingOrder="2"/>
    </xf>
    <xf numFmtId="0" fontId="3" fillId="13" borderId="4" xfId="0" applyFont="1" applyFill="1" applyBorder="1" applyAlignment="1">
      <alignment horizontal="center" vertical="center" wrapText="1" readingOrder="2"/>
    </xf>
    <xf numFmtId="0" fontId="3" fillId="13" borderId="22" xfId="0" applyFont="1" applyFill="1" applyBorder="1" applyAlignment="1">
      <alignment horizontal="center" vertical="center" wrapText="1" readingOrder="2"/>
    </xf>
    <xf numFmtId="0" fontId="3" fillId="13" borderId="16" xfId="0" applyFont="1" applyFill="1" applyBorder="1" applyAlignment="1">
      <alignment horizontal="center" vertical="center" wrapText="1" readingOrder="2"/>
    </xf>
    <xf numFmtId="0" fontId="3" fillId="13" borderId="17" xfId="0" applyFont="1" applyFill="1" applyBorder="1" applyAlignment="1">
      <alignment horizontal="center" vertical="center" wrapText="1" readingOrder="2"/>
    </xf>
    <xf numFmtId="0" fontId="3" fillId="13" borderId="18" xfId="0" applyFont="1" applyFill="1" applyBorder="1" applyAlignment="1">
      <alignment horizontal="center" vertical="center" wrapText="1" readingOrder="2"/>
    </xf>
    <xf numFmtId="0" fontId="3" fillId="13" borderId="1" xfId="0" applyFont="1" applyFill="1" applyBorder="1" applyAlignment="1">
      <alignment horizontal="center" vertical="center" wrapText="1" readingOrder="2"/>
    </xf>
    <xf numFmtId="0" fontId="3" fillId="13" borderId="2" xfId="0" applyFont="1" applyFill="1" applyBorder="1" applyAlignment="1">
      <alignment horizontal="center" vertical="center" wrapText="1" readingOrder="2"/>
    </xf>
    <xf numFmtId="0" fontId="3" fillId="13" borderId="3" xfId="0" applyFont="1" applyFill="1" applyBorder="1" applyAlignment="1">
      <alignment horizontal="center" vertical="center" wrapText="1" readingOrder="2"/>
    </xf>
    <xf numFmtId="0" fontId="3" fillId="13" borderId="23" xfId="0" applyFont="1" applyFill="1" applyBorder="1" applyAlignment="1">
      <alignment horizontal="center" vertical="center" wrapText="1" readingOrder="2"/>
    </xf>
    <xf numFmtId="0" fontId="6" fillId="13" borderId="24" xfId="0" applyFont="1" applyFill="1" applyBorder="1" applyAlignment="1">
      <alignment horizontal="center" vertical="center" wrapText="1" readingOrder="2"/>
    </xf>
    <xf numFmtId="0" fontId="6" fillId="13" borderId="25" xfId="0" applyFont="1" applyFill="1" applyBorder="1" applyAlignment="1">
      <alignment horizontal="center" vertical="center" wrapText="1" readingOrder="2"/>
    </xf>
    <xf numFmtId="0" fontId="6" fillId="13" borderId="5" xfId="0" applyFont="1" applyFill="1" applyBorder="1" applyAlignment="1">
      <alignment horizontal="center" vertical="center" wrapText="1" readingOrder="2"/>
    </xf>
    <xf numFmtId="0" fontId="6" fillId="13" borderId="7" xfId="0" applyFont="1" applyFill="1" applyBorder="1" applyAlignment="1">
      <alignment horizontal="center" vertical="center" wrapText="1" readingOrder="2"/>
    </xf>
    <xf numFmtId="0" fontId="3" fillId="11" borderId="16" xfId="0" applyFont="1" applyFill="1" applyBorder="1" applyAlignment="1">
      <alignment horizontal="center" vertical="center" wrapText="1" readingOrder="2"/>
    </xf>
    <xf numFmtId="0" fontId="3" fillId="11" borderId="17" xfId="0" applyFont="1" applyFill="1" applyBorder="1" applyAlignment="1">
      <alignment horizontal="center" vertical="center" wrapText="1" readingOrder="2"/>
    </xf>
    <xf numFmtId="0" fontId="3" fillId="11" borderId="18" xfId="0" applyFont="1" applyFill="1" applyBorder="1" applyAlignment="1">
      <alignment horizontal="center" vertical="center" wrapText="1" readingOrder="2"/>
    </xf>
    <xf numFmtId="0" fontId="3" fillId="11" borderId="1" xfId="0" applyFont="1" applyFill="1" applyBorder="1" applyAlignment="1">
      <alignment horizontal="center" vertical="center" wrapText="1" readingOrder="2"/>
    </xf>
    <xf numFmtId="0" fontId="3" fillId="11" borderId="2" xfId="0" applyFont="1" applyFill="1" applyBorder="1" applyAlignment="1">
      <alignment horizontal="center" vertical="center" wrapText="1" readingOrder="2"/>
    </xf>
    <xf numFmtId="0" fontId="3" fillId="11" borderId="3" xfId="0" applyFont="1" applyFill="1" applyBorder="1" applyAlignment="1">
      <alignment horizontal="center" vertical="center" wrapText="1" readingOrder="2"/>
    </xf>
    <xf numFmtId="0" fontId="3" fillId="11" borderId="12" xfId="0" applyFont="1" applyFill="1" applyBorder="1" applyAlignment="1">
      <alignment horizontal="center" vertical="center" wrapText="1" readingOrder="2"/>
    </xf>
    <xf numFmtId="0" fontId="3" fillId="11" borderId="13" xfId="0" applyFont="1" applyFill="1" applyBorder="1" applyAlignment="1">
      <alignment horizontal="center" vertical="center" wrapText="1" readingOrder="2"/>
    </xf>
    <xf numFmtId="0" fontId="3" fillId="11" borderId="14" xfId="0" applyFont="1" applyFill="1" applyBorder="1" applyAlignment="1">
      <alignment horizontal="center" vertical="center" wrapText="1" readingOrder="2"/>
    </xf>
    <xf numFmtId="0" fontId="3" fillId="10" borderId="15" xfId="0" applyFont="1" applyFill="1" applyBorder="1" applyAlignment="1">
      <alignment horizontal="center" vertical="center" wrapText="1" readingOrder="2"/>
    </xf>
    <xf numFmtId="0" fontId="3" fillId="10" borderId="4" xfId="0" applyFont="1" applyFill="1" applyBorder="1" applyAlignment="1">
      <alignment horizontal="center" vertical="center" wrapText="1" readingOrder="2"/>
    </xf>
    <xf numFmtId="0" fontId="3" fillId="10" borderId="16" xfId="0" applyFont="1" applyFill="1" applyBorder="1" applyAlignment="1">
      <alignment horizontal="center" vertical="center" wrapText="1" readingOrder="2"/>
    </xf>
    <xf numFmtId="0" fontId="3" fillId="10" borderId="17" xfId="0" applyFont="1" applyFill="1" applyBorder="1" applyAlignment="1">
      <alignment horizontal="center" vertical="center" wrapText="1" readingOrder="2"/>
    </xf>
    <xf numFmtId="0" fontId="3" fillId="10" borderId="18" xfId="0" applyFont="1" applyFill="1" applyBorder="1" applyAlignment="1">
      <alignment horizontal="center" vertical="center" wrapText="1" readingOrder="2"/>
    </xf>
    <xf numFmtId="0" fontId="3" fillId="10" borderId="12" xfId="0" applyFont="1" applyFill="1" applyBorder="1" applyAlignment="1">
      <alignment horizontal="center" vertical="center" wrapText="1" readingOrder="2"/>
    </xf>
    <xf numFmtId="0" fontId="3" fillId="10" borderId="13" xfId="0" applyFont="1" applyFill="1" applyBorder="1" applyAlignment="1">
      <alignment horizontal="center" vertical="center" wrapText="1" readingOrder="2"/>
    </xf>
    <xf numFmtId="0" fontId="3" fillId="10" borderId="14" xfId="0" applyFont="1" applyFill="1" applyBorder="1" applyAlignment="1">
      <alignment horizontal="center" vertical="center" wrapText="1" readingOrder="2"/>
    </xf>
    <xf numFmtId="0" fontId="3" fillId="11" borderId="19" xfId="0" applyFont="1" applyFill="1" applyBorder="1" applyAlignment="1">
      <alignment horizontal="center" vertical="center" wrapText="1" readingOrder="2"/>
    </xf>
    <xf numFmtId="0" fontId="3" fillId="11" borderId="20" xfId="0" applyFont="1" applyFill="1" applyBorder="1" applyAlignment="1">
      <alignment horizontal="center" vertical="center" wrapText="1" readingOrder="2"/>
    </xf>
    <xf numFmtId="0" fontId="3" fillId="11" borderId="21" xfId="0" applyFont="1" applyFill="1" applyBorder="1" applyAlignment="1">
      <alignment horizontal="center" vertical="center" wrapText="1" readingOrder="2"/>
    </xf>
    <xf numFmtId="0" fontId="3" fillId="11" borderId="10" xfId="0" applyFont="1" applyFill="1" applyBorder="1" applyAlignment="1">
      <alignment horizontal="center" vertical="center" wrapText="1" readingOrder="2"/>
    </xf>
    <xf numFmtId="0" fontId="3" fillId="11" borderId="0" xfId="0" applyFont="1" applyFill="1" applyBorder="1" applyAlignment="1">
      <alignment horizontal="center" vertical="center" wrapText="1" readingOrder="2"/>
    </xf>
    <xf numFmtId="0" fontId="3" fillId="11" borderId="11" xfId="0" applyFont="1" applyFill="1" applyBorder="1" applyAlignment="1">
      <alignment horizontal="center" vertical="center" wrapText="1" readingOrder="2"/>
    </xf>
    <xf numFmtId="0" fontId="3" fillId="11" borderId="5" xfId="0" applyFont="1" applyFill="1" applyBorder="1" applyAlignment="1">
      <alignment horizontal="center" vertical="center" wrapText="1" readingOrder="2"/>
    </xf>
    <xf numFmtId="0" fontId="3" fillId="11" borderId="6" xfId="0" applyFont="1" applyFill="1" applyBorder="1" applyAlignment="1">
      <alignment horizontal="center" vertical="center" wrapText="1" readingOrder="2"/>
    </xf>
    <xf numFmtId="0" fontId="3" fillId="11" borderId="7" xfId="0" applyFont="1" applyFill="1" applyBorder="1" applyAlignment="1">
      <alignment horizontal="center" vertical="center" wrapText="1" readingOrder="2"/>
    </xf>
    <xf numFmtId="0" fontId="5" fillId="6" borderId="26" xfId="0" applyFont="1" applyFill="1" applyBorder="1" applyAlignment="1">
      <alignment horizontal="center"/>
    </xf>
    <xf numFmtId="0" fontId="1" fillId="16" borderId="26" xfId="0" applyFont="1" applyFill="1" applyBorder="1" applyAlignment="1">
      <alignment horizontal="right" vertical="center" readingOrder="2"/>
    </xf>
    <xf numFmtId="0" fontId="8" fillId="14" borderId="26" xfId="0" applyFont="1" applyFill="1" applyBorder="1" applyAlignment="1">
      <alignment horizontal="right" vertical="center" readingOrder="2"/>
    </xf>
    <xf numFmtId="0" fontId="8" fillId="14" borderId="29" xfId="0" applyFont="1" applyFill="1" applyBorder="1" applyAlignment="1">
      <alignment horizontal="right" vertical="center" readingOrder="2"/>
    </xf>
    <xf numFmtId="0" fontId="8" fillId="14" borderId="30" xfId="0" applyFont="1" applyFill="1" applyBorder="1" applyAlignment="1">
      <alignment horizontal="right" vertical="center" readingOrder="2"/>
    </xf>
    <xf numFmtId="0" fontId="3" fillId="9" borderId="12" xfId="0" applyFont="1" applyFill="1" applyBorder="1" applyAlignment="1">
      <alignment horizontal="center" vertical="center" wrapText="1" readingOrder="2"/>
    </xf>
    <xf numFmtId="0" fontId="3" fillId="9" borderId="13" xfId="0" applyFont="1" applyFill="1" applyBorder="1" applyAlignment="1">
      <alignment horizontal="center" vertical="center" wrapText="1" readingOrder="2"/>
    </xf>
    <xf numFmtId="0" fontId="3" fillId="9" borderId="14" xfId="0" applyFont="1" applyFill="1" applyBorder="1" applyAlignment="1">
      <alignment horizontal="center" vertical="center" wrapText="1" readingOrder="2"/>
    </xf>
    <xf numFmtId="0" fontId="1" fillId="17" borderId="26" xfId="0" applyFont="1" applyFill="1" applyBorder="1" applyAlignment="1">
      <alignment horizontal="right" vertical="center" readingOrder="2"/>
    </xf>
    <xf numFmtId="0" fontId="1" fillId="15" borderId="26" xfId="0" applyFont="1" applyFill="1" applyBorder="1" applyAlignment="1">
      <alignment horizontal="right" vertical="center" readingOrder="2"/>
    </xf>
    <xf numFmtId="0" fontId="2" fillId="8" borderId="27" xfId="0" applyFont="1" applyFill="1" applyBorder="1" applyAlignment="1">
      <alignment horizontal="center" vertical="center" wrapText="1" readingOrder="2"/>
    </xf>
    <xf numFmtId="0" fontId="5" fillId="5" borderId="26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crt.rums.ac.ir/" TargetMode="External"/><Relationship Id="rId1" Type="http://schemas.openxmlformats.org/officeDocument/2006/relationships/hyperlink" Target="http://isid.research.ac.ir/Hossein_Khoramdelaz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90" zoomScaleNormal="90" workbookViewId="0">
      <selection activeCell="R8" sqref="R8"/>
    </sheetView>
  </sheetViews>
  <sheetFormatPr defaultRowHeight="15" x14ac:dyDescent="0.25"/>
  <cols>
    <col min="1" max="1" width="14.5703125" customWidth="1"/>
    <col min="2" max="2" width="11.85546875" customWidth="1"/>
    <col min="3" max="3" width="8.42578125" customWidth="1"/>
    <col min="4" max="4" width="13" customWidth="1"/>
    <col min="5" max="7" width="8.7109375" customWidth="1"/>
    <col min="8" max="8" width="10.85546875" customWidth="1"/>
    <col min="9" max="9" width="3.7109375" customWidth="1"/>
    <col min="10" max="10" width="13" customWidth="1"/>
    <col min="11" max="11" width="7.5703125" customWidth="1"/>
    <col min="12" max="12" width="13.7109375" customWidth="1"/>
    <col min="13" max="15" width="10.7109375" customWidth="1"/>
    <col min="16" max="16" width="10.42578125" customWidth="1"/>
    <col min="17" max="17" width="15.7109375" customWidth="1"/>
    <col min="18" max="18" width="11.5703125" customWidth="1"/>
  </cols>
  <sheetData>
    <row r="1" spans="1:18" ht="21" x14ac:dyDescent="0.55000000000000004">
      <c r="B1" s="99" t="s">
        <v>0</v>
      </c>
      <c r="C1" s="99"/>
      <c r="D1" s="99"/>
      <c r="E1" s="99"/>
      <c r="F1" s="99"/>
      <c r="G1" s="99"/>
      <c r="H1" s="99"/>
      <c r="I1" s="6"/>
      <c r="J1" s="111" t="s">
        <v>12</v>
      </c>
      <c r="K1" s="111"/>
      <c r="L1" s="111"/>
      <c r="M1" s="111"/>
      <c r="N1" s="111"/>
      <c r="O1" s="111"/>
      <c r="P1" s="111"/>
      <c r="Q1" s="110" t="s">
        <v>32</v>
      </c>
    </row>
    <row r="2" spans="1:18" x14ac:dyDescent="0.25">
      <c r="B2" s="13" t="s">
        <v>11</v>
      </c>
      <c r="C2" s="13" t="s">
        <v>10</v>
      </c>
      <c r="D2" s="13" t="s">
        <v>9</v>
      </c>
      <c r="E2" s="13" t="s">
        <v>8</v>
      </c>
      <c r="F2" s="13" t="s">
        <v>31</v>
      </c>
      <c r="G2" s="13" t="s">
        <v>35</v>
      </c>
      <c r="H2" s="13" t="s">
        <v>34</v>
      </c>
      <c r="I2" s="11"/>
      <c r="J2" s="13" t="s">
        <v>11</v>
      </c>
      <c r="K2" s="13" t="s">
        <v>10</v>
      </c>
      <c r="L2" s="13" t="s">
        <v>9</v>
      </c>
      <c r="M2" s="13" t="s">
        <v>8</v>
      </c>
      <c r="N2" s="13" t="s">
        <v>31</v>
      </c>
      <c r="O2" s="13" t="s">
        <v>35</v>
      </c>
      <c r="P2" s="13" t="s">
        <v>34</v>
      </c>
      <c r="Q2" s="110"/>
    </row>
    <row r="3" spans="1:18" ht="21" x14ac:dyDescent="0.55000000000000004">
      <c r="B3" s="14"/>
      <c r="C3" s="14"/>
      <c r="D3" s="14"/>
      <c r="E3" s="14"/>
      <c r="F3" s="14"/>
      <c r="G3" s="14"/>
      <c r="H3" s="16"/>
      <c r="I3" s="12"/>
      <c r="J3" s="14">
        <f>0.9*2*Q14</f>
        <v>1.8</v>
      </c>
      <c r="K3" s="14">
        <f>0.9*3*Q14</f>
        <v>2.7</v>
      </c>
      <c r="L3" s="14">
        <f>0.9*3.5*Q14</f>
        <v>3.15</v>
      </c>
      <c r="M3" s="15">
        <f>0.9*4*Q14</f>
        <v>3.6</v>
      </c>
      <c r="N3" s="15">
        <f>0.9*5*Q14</f>
        <v>4.5</v>
      </c>
      <c r="O3" s="16">
        <f>0.9*(7+(0.25*Q13))*Q14</f>
        <v>6.3</v>
      </c>
      <c r="P3" s="16">
        <f>0.9*(5+Q12)*Q14</f>
        <v>4.5</v>
      </c>
      <c r="Q3" s="20" t="s">
        <v>1</v>
      </c>
    </row>
    <row r="4" spans="1:18" ht="21" x14ac:dyDescent="0.55000000000000004">
      <c r="B4" s="17">
        <f>0.55*2*Q14</f>
        <v>1.1000000000000001</v>
      </c>
      <c r="C4" s="17">
        <f>0.55*3*Q14</f>
        <v>1.6500000000000001</v>
      </c>
      <c r="D4" s="17">
        <f>0.55*3.5*Q14</f>
        <v>1.9250000000000003</v>
      </c>
      <c r="E4" s="17">
        <f>0.55*4*Q14</f>
        <v>2.2000000000000002</v>
      </c>
      <c r="F4" s="17">
        <f>0.55*5*Q14</f>
        <v>2.75</v>
      </c>
      <c r="G4" s="19">
        <f>0.55*(7+(0.25*Q13))*Q14</f>
        <v>3.8500000000000005</v>
      </c>
      <c r="H4" s="19">
        <f>0.55*(5+Q12)*Q14</f>
        <v>2.75</v>
      </c>
      <c r="I4" s="12"/>
      <c r="J4" s="17">
        <f>0.8*2*Q14</f>
        <v>1.6</v>
      </c>
      <c r="K4" s="17">
        <f>0.8*3*Q14</f>
        <v>2.4000000000000004</v>
      </c>
      <c r="L4" s="17">
        <f>0.8*3.5*Q14</f>
        <v>2.8000000000000003</v>
      </c>
      <c r="M4" s="18">
        <f>0.8*4*Q14</f>
        <v>3.2</v>
      </c>
      <c r="N4" s="18">
        <f>0.8*5*Q14</f>
        <v>4</v>
      </c>
      <c r="O4" s="19">
        <f>0.8*(7+(0.25*Q13))*Q14</f>
        <v>5.6000000000000005</v>
      </c>
      <c r="P4" s="19">
        <f>0.8*(5+Q12)*Q14</f>
        <v>4</v>
      </c>
      <c r="Q4" s="21" t="s">
        <v>2</v>
      </c>
    </row>
    <row r="5" spans="1:18" ht="21" x14ac:dyDescent="0.55000000000000004">
      <c r="B5" s="14">
        <f>0.4*2*Q14</f>
        <v>0.8</v>
      </c>
      <c r="C5" s="14">
        <f>0.4*3*Q14</f>
        <v>1.2000000000000002</v>
      </c>
      <c r="D5" s="14">
        <f>0.4*3.5*Q14</f>
        <v>1.4000000000000001</v>
      </c>
      <c r="E5" s="14">
        <f>0.4*4*Q14</f>
        <v>1.6</v>
      </c>
      <c r="F5" s="14">
        <f>0.4*5*Q14</f>
        <v>2</v>
      </c>
      <c r="G5" s="16">
        <f>0.4*(7+(0.25*Q13))*Q14</f>
        <v>2.8000000000000003</v>
      </c>
      <c r="H5" s="16">
        <f>0.4*(5+Q12)*Q14</f>
        <v>2</v>
      </c>
      <c r="I5" s="12"/>
      <c r="J5" s="14">
        <f>0.7*2*Q14</f>
        <v>1.4</v>
      </c>
      <c r="K5" s="14">
        <f>0.8*3*Q14</f>
        <v>2.4000000000000004</v>
      </c>
      <c r="L5" s="14">
        <f>0.7*3.5*Q14</f>
        <v>2.4499999999999997</v>
      </c>
      <c r="M5" s="15">
        <f>0.7*4*Q14</f>
        <v>2.8</v>
      </c>
      <c r="N5" s="15">
        <f>0.7*5*Q14</f>
        <v>3.5</v>
      </c>
      <c r="O5" s="16">
        <f>0.7*(7+(0.25*Q13))*Q14</f>
        <v>4.8999999999999995</v>
      </c>
      <c r="P5" s="16">
        <f>0.7*(5+Q12)*Q14</f>
        <v>3.5</v>
      </c>
      <c r="Q5" s="20" t="s">
        <v>3</v>
      </c>
    </row>
    <row r="6" spans="1:18" ht="21" x14ac:dyDescent="0.55000000000000004">
      <c r="B6" s="17">
        <f>0.35*2*Q14</f>
        <v>0.7</v>
      </c>
      <c r="C6" s="17">
        <f>0.35*3*Q14</f>
        <v>1.0499999999999998</v>
      </c>
      <c r="D6" s="17">
        <f>0.35*3.5*Q14</f>
        <v>1.2249999999999999</v>
      </c>
      <c r="E6" s="17">
        <f>0.35*4*Q14</f>
        <v>1.4</v>
      </c>
      <c r="F6" s="17">
        <f>0.35*5*Q14</f>
        <v>1.75</v>
      </c>
      <c r="G6" s="19">
        <f>0.35*(7+(0.25*Q13))*Q14</f>
        <v>2.4499999999999997</v>
      </c>
      <c r="H6" s="19">
        <f>0.35*(5+Q12)*Q14</f>
        <v>1.75</v>
      </c>
      <c r="I6" s="12"/>
      <c r="J6" s="17">
        <f>0.6*2*Q14</f>
        <v>1.2</v>
      </c>
      <c r="K6" s="17">
        <f>0.6*3*Q14</f>
        <v>1.7999999999999998</v>
      </c>
      <c r="L6" s="17">
        <f>0.6*3.5*Q14</f>
        <v>2.1</v>
      </c>
      <c r="M6" s="18">
        <f>0.6*4*Q14</f>
        <v>2.4</v>
      </c>
      <c r="N6" s="18">
        <f>0.6*5*Q14</f>
        <v>3</v>
      </c>
      <c r="O6" s="19">
        <f>0.6*(7+(0.25*Q13))*Q14</f>
        <v>4.2</v>
      </c>
      <c r="P6" s="19">
        <f>0.6*(5+Q12)*Q14</f>
        <v>3</v>
      </c>
      <c r="Q6" s="21" t="s">
        <v>4</v>
      </c>
    </row>
    <row r="7" spans="1:18" ht="21" x14ac:dyDescent="0.55000000000000004">
      <c r="B7" s="14">
        <f>0.3*2*Q14</f>
        <v>0.6</v>
      </c>
      <c r="C7" s="14">
        <f>0.3*3*Q14</f>
        <v>0.89999999999999991</v>
      </c>
      <c r="D7" s="14">
        <f>0.3*3.5*Q14</f>
        <v>1.05</v>
      </c>
      <c r="E7" s="14">
        <f>0.3*4*Q14</f>
        <v>1.2</v>
      </c>
      <c r="F7" s="14">
        <f>0.3*5*Q14</f>
        <v>1.5</v>
      </c>
      <c r="G7" s="16">
        <f>0.3*(7+(0.25*Q13))*Q14</f>
        <v>2.1</v>
      </c>
      <c r="H7" s="16">
        <f>0.3*(5+Q12)*Q14</f>
        <v>1.5</v>
      </c>
      <c r="I7" s="12"/>
      <c r="J7" s="14">
        <f>0.55*2*Q14</f>
        <v>1.1000000000000001</v>
      </c>
      <c r="K7" s="14">
        <f>0.55*3*Q14</f>
        <v>1.6500000000000001</v>
      </c>
      <c r="L7" s="14">
        <f>0.55*3.5*Q14</f>
        <v>1.9250000000000003</v>
      </c>
      <c r="M7" s="15">
        <f>0.55*4*Q14</f>
        <v>2.2000000000000002</v>
      </c>
      <c r="N7" s="15">
        <f>0.55*5*Q14</f>
        <v>2.75</v>
      </c>
      <c r="O7" s="16">
        <f>0.55*(7+(0.25*Q13))*Q14</f>
        <v>3.8500000000000005</v>
      </c>
      <c r="P7" s="16">
        <f>0.55*(5+Q12)*Q14</f>
        <v>2.75</v>
      </c>
      <c r="Q7" s="20" t="s">
        <v>5</v>
      </c>
    </row>
    <row r="8" spans="1:18" ht="21" x14ac:dyDescent="0.55000000000000004">
      <c r="B8" s="17">
        <f>0.25*2*Q14</f>
        <v>0.5</v>
      </c>
      <c r="C8" s="17">
        <f>0.25*3*Q14</f>
        <v>0.75</v>
      </c>
      <c r="D8" s="17">
        <f>0.25*3.5*Q14</f>
        <v>0.875</v>
      </c>
      <c r="E8" s="17">
        <f>0.25*4*Q14</f>
        <v>1</v>
      </c>
      <c r="F8" s="17">
        <f>0.25*5*Q14</f>
        <v>1.25</v>
      </c>
      <c r="G8" s="19">
        <f>0.25*(7+(0.25*Q13))*Q14</f>
        <v>1.75</v>
      </c>
      <c r="H8" s="19">
        <f>0.25*(5+Q12)*Q14</f>
        <v>1.25</v>
      </c>
      <c r="I8" s="12"/>
      <c r="J8" s="17">
        <f>0.5*2*Q14</f>
        <v>1</v>
      </c>
      <c r="K8" s="17">
        <f>0.5*3*Q14</f>
        <v>1.5</v>
      </c>
      <c r="L8" s="17">
        <f>0.5*3.5*Q14</f>
        <v>1.75</v>
      </c>
      <c r="M8" s="18">
        <f>0.5*4*Q14</f>
        <v>2</v>
      </c>
      <c r="N8" s="18">
        <f>0.5*5*Q14</f>
        <v>2.5</v>
      </c>
      <c r="O8" s="19">
        <f>0.5*(7+(0.25*Q13))*Q14</f>
        <v>3.5</v>
      </c>
      <c r="P8" s="19">
        <f>0.5*(5+Q12)*Q14</f>
        <v>2.5</v>
      </c>
      <c r="Q8" s="21" t="s">
        <v>6</v>
      </c>
    </row>
    <row r="9" spans="1:18" ht="21" x14ac:dyDescent="0.55000000000000004">
      <c r="B9" s="14">
        <f>(1.55*2*Q14)/(Q11-1)</f>
        <v>0.34444444444444444</v>
      </c>
      <c r="C9" s="14">
        <f>(1.55*3*Q14)/(Q11-1)</f>
        <v>0.51666666666666672</v>
      </c>
      <c r="D9" s="14">
        <f>(1.55*3.5*Q14)/(Q11-1)</f>
        <v>0.60277777777777775</v>
      </c>
      <c r="E9" s="14">
        <f>(1.55*4*Q14)/(Q11-1)</f>
        <v>0.68888888888888888</v>
      </c>
      <c r="F9" s="14">
        <f>(1.55*5*Q14)/(Q11-1)</f>
        <v>0.86111111111111116</v>
      </c>
      <c r="G9" s="16">
        <f>(1.55*(7+(0.25*Q13))*Q14)/(Q11-1)</f>
        <v>1.2055555555555555</v>
      </c>
      <c r="H9" s="16">
        <f>(1.55*(5+Q12)*Q14)/(Q11-1)</f>
        <v>0.86111111111111116</v>
      </c>
      <c r="I9" s="12"/>
      <c r="J9" s="14">
        <f>0.45*2*Q14</f>
        <v>0.9</v>
      </c>
      <c r="K9" s="14">
        <f>0.45*3*Q14</f>
        <v>1.35</v>
      </c>
      <c r="L9" s="14">
        <f>0.45*3.5*Q14</f>
        <v>1.575</v>
      </c>
      <c r="M9" s="15">
        <f>0.45*4*Q14</f>
        <v>1.8</v>
      </c>
      <c r="N9" s="15">
        <f>0.45*5*Q14</f>
        <v>2.25</v>
      </c>
      <c r="O9" s="16">
        <f>0.45*(7+(0.25*Q13))*Q14</f>
        <v>3.15</v>
      </c>
      <c r="P9" s="16">
        <f>0.45*(5+Q12)*Q14</f>
        <v>2.25</v>
      </c>
      <c r="Q9" s="20" t="s">
        <v>7</v>
      </c>
    </row>
    <row r="11" spans="1:18" ht="20.100000000000001" customHeight="1" x14ac:dyDescent="0.25">
      <c r="J11" s="108" t="s">
        <v>39</v>
      </c>
      <c r="K11" s="108"/>
      <c r="L11" s="108"/>
      <c r="M11" s="108"/>
      <c r="N11" s="108"/>
      <c r="O11" s="108"/>
      <c r="P11" s="108"/>
      <c r="Q11" s="35">
        <v>10</v>
      </c>
    </row>
    <row r="12" spans="1:18" ht="20.100000000000001" customHeight="1" x14ac:dyDescent="0.25">
      <c r="H12" s="36"/>
      <c r="I12" s="37"/>
      <c r="J12" s="107" t="s">
        <v>36</v>
      </c>
      <c r="K12" s="107"/>
      <c r="L12" s="107"/>
      <c r="M12" s="107"/>
      <c r="N12" s="107"/>
      <c r="O12" s="107"/>
      <c r="P12" s="107"/>
      <c r="Q12" s="32"/>
      <c r="R12" s="50" t="s">
        <v>33</v>
      </c>
    </row>
    <row r="13" spans="1:18" ht="20.100000000000001" customHeight="1" x14ac:dyDescent="0.25">
      <c r="H13" s="36"/>
      <c r="I13" s="37"/>
      <c r="J13" s="100" t="s">
        <v>37</v>
      </c>
      <c r="K13" s="100"/>
      <c r="L13" s="100"/>
      <c r="M13" s="100"/>
      <c r="N13" s="100"/>
      <c r="O13" s="100"/>
      <c r="P13" s="100"/>
      <c r="Q13" s="33"/>
      <c r="R13" s="51"/>
    </row>
    <row r="14" spans="1:18" ht="20.100000000000001" customHeight="1" x14ac:dyDescent="0.45">
      <c r="A14" s="39"/>
      <c r="B14" s="39"/>
      <c r="C14" s="49" t="s">
        <v>45</v>
      </c>
      <c r="D14" s="49"/>
      <c r="E14" s="49"/>
      <c r="F14" s="39"/>
      <c r="G14" s="39"/>
      <c r="H14" s="39"/>
      <c r="J14" s="101" t="s">
        <v>38</v>
      </c>
      <c r="K14" s="102"/>
      <c r="L14" s="102"/>
      <c r="M14" s="102"/>
      <c r="N14" s="102"/>
      <c r="O14" s="102"/>
      <c r="P14" s="103"/>
      <c r="Q14" s="34">
        <v>1</v>
      </c>
    </row>
    <row r="15" spans="1:18" ht="20.25" thickBot="1" x14ac:dyDescent="0.3">
      <c r="A15" s="48" t="s">
        <v>43</v>
      </c>
      <c r="B15" s="48"/>
      <c r="C15" s="48"/>
      <c r="D15" s="48"/>
      <c r="E15" s="48"/>
      <c r="F15" s="48"/>
      <c r="G15" s="48"/>
      <c r="H15" s="48"/>
      <c r="J15" s="109" t="s">
        <v>13</v>
      </c>
      <c r="K15" s="109"/>
      <c r="L15" s="109"/>
      <c r="M15" s="109"/>
      <c r="N15" s="109"/>
      <c r="O15" s="109"/>
      <c r="P15" s="109"/>
      <c r="Q15" s="109"/>
    </row>
    <row r="16" spans="1:18" ht="16.5" thickBot="1" x14ac:dyDescent="0.3">
      <c r="A16" s="40"/>
      <c r="B16" s="46" t="s">
        <v>40</v>
      </c>
      <c r="C16" s="46"/>
      <c r="D16" s="46"/>
      <c r="E16" s="46"/>
      <c r="F16" s="46"/>
      <c r="G16" s="41"/>
      <c r="H16" s="42"/>
      <c r="J16" s="104" t="s">
        <v>14</v>
      </c>
      <c r="K16" s="105"/>
      <c r="L16" s="105"/>
      <c r="M16" s="105"/>
      <c r="N16" s="105"/>
      <c r="O16" s="105"/>
      <c r="P16" s="106"/>
      <c r="Q16" s="22">
        <v>1</v>
      </c>
    </row>
    <row r="17" spans="1:18" ht="15.75" customHeight="1" thickTop="1" thickBot="1" x14ac:dyDescent="0.3">
      <c r="A17" s="38"/>
      <c r="B17" s="43"/>
      <c r="C17" s="43"/>
      <c r="D17" s="43" t="s">
        <v>44</v>
      </c>
      <c r="E17" s="44"/>
      <c r="F17" s="44"/>
      <c r="J17" s="82" t="s">
        <v>15</v>
      </c>
      <c r="K17" s="84" t="s">
        <v>16</v>
      </c>
      <c r="L17" s="85"/>
      <c r="M17" s="85"/>
      <c r="N17" s="85"/>
      <c r="O17" s="85"/>
      <c r="P17" s="86"/>
      <c r="Q17" s="23">
        <v>1</v>
      </c>
    </row>
    <row r="18" spans="1:18" ht="21.75" thickBot="1" x14ac:dyDescent="0.3">
      <c r="B18" s="45" t="s">
        <v>42</v>
      </c>
      <c r="C18" s="45"/>
      <c r="D18" s="45"/>
      <c r="E18" s="45"/>
      <c r="F18" s="45"/>
      <c r="J18" s="83"/>
      <c r="K18" s="87" t="s">
        <v>17</v>
      </c>
      <c r="L18" s="88"/>
      <c r="M18" s="88"/>
      <c r="N18" s="88"/>
      <c r="O18" s="88"/>
      <c r="P18" s="89"/>
      <c r="Q18" s="24">
        <v>0.43</v>
      </c>
    </row>
    <row r="19" spans="1:18" ht="17.25" thickTop="1" thickBot="1" x14ac:dyDescent="0.3">
      <c r="C19" s="46" t="s">
        <v>41</v>
      </c>
      <c r="D19" s="47"/>
      <c r="E19" s="47"/>
      <c r="J19" s="90" t="s">
        <v>18</v>
      </c>
      <c r="K19" s="91"/>
      <c r="L19" s="92"/>
      <c r="M19" s="73" t="s">
        <v>19</v>
      </c>
      <c r="N19" s="74"/>
      <c r="O19" s="74"/>
      <c r="P19" s="75"/>
      <c r="Q19" s="25">
        <v>0.43</v>
      </c>
    </row>
    <row r="20" spans="1:18" ht="16.5" thickBot="1" x14ac:dyDescent="0.3">
      <c r="J20" s="93"/>
      <c r="K20" s="94"/>
      <c r="L20" s="95"/>
      <c r="M20" s="76" t="s">
        <v>20</v>
      </c>
      <c r="N20" s="77"/>
      <c r="O20" s="77"/>
      <c r="P20" s="78"/>
      <c r="Q20" s="25">
        <v>0.72</v>
      </c>
    </row>
    <row r="21" spans="1:18" ht="16.5" thickBot="1" x14ac:dyDescent="0.3">
      <c r="J21" s="96"/>
      <c r="K21" s="97"/>
      <c r="L21" s="98"/>
      <c r="M21" s="79" t="s">
        <v>21</v>
      </c>
      <c r="N21" s="80"/>
      <c r="O21" s="80"/>
      <c r="P21" s="81"/>
      <c r="Q21" s="26">
        <v>1</v>
      </c>
    </row>
    <row r="22" spans="1:18" ht="17.25" thickTop="1" thickBot="1" x14ac:dyDescent="0.3">
      <c r="J22" s="52" t="s">
        <v>22</v>
      </c>
      <c r="K22" s="53"/>
      <c r="L22" s="53"/>
      <c r="M22" s="54"/>
      <c r="N22" s="8"/>
      <c r="O22" s="8"/>
      <c r="P22" s="2" t="s">
        <v>23</v>
      </c>
      <c r="Q22" s="27">
        <v>0.43</v>
      </c>
      <c r="R22" s="1"/>
    </row>
    <row r="23" spans="1:18" ht="16.5" thickBot="1" x14ac:dyDescent="0.3">
      <c r="J23" s="55"/>
      <c r="K23" s="56"/>
      <c r="L23" s="56"/>
      <c r="M23" s="57"/>
      <c r="N23" s="7"/>
      <c r="O23" s="31"/>
      <c r="P23" s="3" t="s">
        <v>24</v>
      </c>
      <c r="Q23" s="28">
        <v>0.72</v>
      </c>
      <c r="R23" s="1"/>
    </row>
    <row r="24" spans="1:18" ht="17.25" customHeight="1" thickTop="1" thickBot="1" x14ac:dyDescent="0.3">
      <c r="J24" s="58" t="s">
        <v>25</v>
      </c>
      <c r="K24" s="58" t="s">
        <v>26</v>
      </c>
      <c r="L24" s="62" t="s">
        <v>27</v>
      </c>
      <c r="M24" s="63"/>
      <c r="N24" s="63"/>
      <c r="O24" s="63"/>
      <c r="P24" s="64"/>
      <c r="Q24" s="29">
        <v>0.08</v>
      </c>
      <c r="R24" s="1"/>
    </row>
    <row r="25" spans="1:18" ht="16.5" customHeight="1" thickBot="1" x14ac:dyDescent="0.3">
      <c r="J25" s="59"/>
      <c r="K25" s="61"/>
      <c r="L25" s="65" t="s">
        <v>28</v>
      </c>
      <c r="M25" s="66"/>
      <c r="N25" s="66"/>
      <c r="O25" s="66"/>
      <c r="P25" s="67"/>
      <c r="Q25" s="29">
        <v>0.15</v>
      </c>
      <c r="R25" s="1"/>
    </row>
    <row r="26" spans="1:18" ht="16.5" thickBot="1" x14ac:dyDescent="0.3">
      <c r="J26" s="59"/>
      <c r="K26" s="68" t="s">
        <v>29</v>
      </c>
      <c r="L26" s="65" t="s">
        <v>18</v>
      </c>
      <c r="M26" s="66"/>
      <c r="N26" s="66"/>
      <c r="O26" s="66"/>
      <c r="P26" s="67"/>
      <c r="Q26" s="29">
        <v>0.43</v>
      </c>
      <c r="R26" s="1"/>
    </row>
    <row r="27" spans="1:18" ht="16.5" thickBot="1" x14ac:dyDescent="0.3">
      <c r="J27" s="59"/>
      <c r="K27" s="59"/>
      <c r="L27" s="69" t="s">
        <v>30</v>
      </c>
      <c r="M27" s="70"/>
      <c r="N27" s="9"/>
      <c r="O27" s="9"/>
      <c r="P27" s="4" t="s">
        <v>23</v>
      </c>
      <c r="Q27" s="29">
        <v>0.22</v>
      </c>
      <c r="R27" s="1"/>
    </row>
    <row r="28" spans="1:18" ht="16.5" thickBot="1" x14ac:dyDescent="0.3">
      <c r="J28" s="60"/>
      <c r="K28" s="60"/>
      <c r="L28" s="71"/>
      <c r="M28" s="72"/>
      <c r="N28" s="10"/>
      <c r="O28" s="10"/>
      <c r="P28" s="5" t="s">
        <v>24</v>
      </c>
      <c r="Q28" s="30">
        <v>0.43</v>
      </c>
      <c r="R28" s="1"/>
    </row>
    <row r="29" spans="1:18" ht="17.25" customHeight="1" thickTop="1" x14ac:dyDescent="0.25">
      <c r="R29" s="1"/>
    </row>
    <row r="30" spans="1:18" ht="15.75" x14ac:dyDescent="0.25">
      <c r="R30" s="1"/>
    </row>
    <row r="31" spans="1:18" ht="15.75" x14ac:dyDescent="0.25">
      <c r="R31" s="1"/>
    </row>
    <row r="32" spans="1:18" ht="15.75" x14ac:dyDescent="0.25">
      <c r="R32" s="1"/>
    </row>
    <row r="33" spans="18:18" ht="15.75" x14ac:dyDescent="0.25">
      <c r="R33" s="1"/>
    </row>
    <row r="34" spans="18:18" ht="15.75" x14ac:dyDescent="0.25">
      <c r="R34" s="1"/>
    </row>
    <row r="35" spans="18:18" ht="15.75" x14ac:dyDescent="0.25">
      <c r="R35" s="1"/>
    </row>
  </sheetData>
  <mergeCells count="30">
    <mergeCell ref="B1:H1"/>
    <mergeCell ref="J13:P13"/>
    <mergeCell ref="J14:P14"/>
    <mergeCell ref="J16:P16"/>
    <mergeCell ref="J12:P12"/>
    <mergeCell ref="J11:P11"/>
    <mergeCell ref="J15:Q15"/>
    <mergeCell ref="Q1:Q2"/>
    <mergeCell ref="J1:P1"/>
    <mergeCell ref="R12:R13"/>
    <mergeCell ref="J22:M23"/>
    <mergeCell ref="J24:J28"/>
    <mergeCell ref="K24:K25"/>
    <mergeCell ref="L24:P24"/>
    <mergeCell ref="L25:P25"/>
    <mergeCell ref="K26:K28"/>
    <mergeCell ref="L26:P26"/>
    <mergeCell ref="L27:M28"/>
    <mergeCell ref="M19:P19"/>
    <mergeCell ref="M20:P20"/>
    <mergeCell ref="M21:P21"/>
    <mergeCell ref="J17:J18"/>
    <mergeCell ref="K17:P17"/>
    <mergeCell ref="K18:P18"/>
    <mergeCell ref="J19:L21"/>
    <mergeCell ref="B18:F18"/>
    <mergeCell ref="C19:E19"/>
    <mergeCell ref="A15:H15"/>
    <mergeCell ref="C14:E14"/>
    <mergeCell ref="B16:F16"/>
  </mergeCells>
  <hyperlinks>
    <hyperlink ref="B16" r:id="rId1"/>
    <hyperlink ref="C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Artile score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2018-11-28T15:21:22Z</dcterms:modified>
</cp:coreProperties>
</file>